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Calculator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<sst xmlns="http://schemas.openxmlformats.org/spreadsheetml/2006/main" count="56" uniqueCount="56">
  <si>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Sphericity</t>
  </si>
  <si>
    <t>voidage</t>
  </si>
  <si>
    <t>dp(m)</t>
  </si>
  <si>
    <t>A of tube(m2)</t>
  </si>
  <si>
    <t>a</t>
  </si>
  <si>
    <t>b</t>
  </si>
  <si>
    <t>Re</t>
  </si>
  <si>
    <t>c = -Ar</t>
  </si>
  <si>
    <t>umf(m/s)</t>
  </si>
  <si>
    <t>2r(mm)</t>
  </si>
  <si>
    <t>Initial Bed Length (m)</t>
  </si>
  <si>
    <t>Initial Bed Volume (m^3)</t>
  </si>
  <si>
    <t>gravity (m/s^2)</t>
  </si>
  <si>
    <t>solid density(kg/m^3)</t>
  </si>
  <si>
    <t>Initial Bed Volume (cc)</t>
  </si>
  <si>
    <t>Bed mf delta-P(psi)</t>
  </si>
  <si>
    <t>Bed mf delta-P(in H2O)</t>
  </si>
  <si>
    <t>Volume mf  Flow rate(LPM)</t>
  </si>
  <si>
    <t>Volume mf  Flow rate(SCFM)</t>
  </si>
  <si>
    <t>air density(kg/m^3)</t>
  </si>
  <si>
    <t>air viscosity(kg/m*s)</t>
  </si>
  <si>
    <t>air temp. (F)</t>
  </si>
  <si>
    <t>Volume mf  Flow rate(CFM)</t>
  </si>
  <si>
    <t>air temp. (K)</t>
  </si>
  <si>
    <t>Bed mass (g)</t>
  </si>
  <si>
    <t>Bean mass (kg)</t>
  </si>
  <si>
    <t>dp(cm)</t>
  </si>
  <si>
    <t>air speed</t>
  </si>
  <si>
    <t>mm h20</t>
  </si>
  <si>
    <t>bed height (in)</t>
  </si>
  <si>
    <t>Chamber diameter (in)</t>
  </si>
  <si>
    <t>cups</t>
  </si>
  <si>
    <t>Obvious I hope</t>
  </si>
  <si>
    <t>A measure of how scherical the beans are.  1.0 = sphere.</t>
  </si>
  <si>
    <t>The effective size  if the particle were a sphere</t>
  </si>
  <si>
    <t>obvious - changeable field</t>
  </si>
  <si>
    <t>Calculated field</t>
  </si>
  <si>
    <t>mf = min. fluidization</t>
  </si>
  <si>
    <t>Static head needed to fluidize in inches of water</t>
  </si>
  <si>
    <t>Static head in mm of water</t>
  </si>
  <si>
    <t xml:space="preserve">How many cups of the bed mass </t>
  </si>
  <si>
    <t>effective sphere size in meters</t>
  </si>
  <si>
    <t>These are variables in the fluidization calculations</t>
  </si>
  <si>
    <t>Min. fluidization velocity</t>
  </si>
  <si>
    <t>Area of the chamber</t>
  </si>
  <si>
    <t>diameter of chamber</t>
  </si>
  <si>
    <t>min fluidization flow in liters per minute</t>
  </si>
  <si>
    <t>flow in cfm standardized to 25 c</t>
  </si>
  <si>
    <t>bed volume in cubic meters</t>
  </si>
  <si>
    <t>bed height in meters</t>
  </si>
  <si>
    <t>static head in psi</t>
  </si>
  <si>
    <t>temperature of the bed, but since ours changes, it is not of the most importance</t>
  </si>
  <si>
    <t>How much empty space in a given volumne - 0=solid</t>
  </si>
  <si>
    <t>cubic centimeters or milliliters</t>
  </si>
  <si>
    <t>density of beans</t>
  </si>
  <si>
    <t>Minimum Fluidization Calculator for green coffee beans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</si>
</sst>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5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 wrapText="1"/>
    </xf>
    <xf numFmtId="167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 wrapText="1"/>
    </xf>
    <xf numFmtId="164" fontId="0" fillId="0" borderId="7" xfId="0" applyNumberFormat="1" applyBorder="1" applyAlignment="1">
      <alignment horizontal="center" wrapText="1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workbookViewId="0" topLeftCell="A1">
      <selection activeCell="J15" sqref="J15"/>
    </sheetView>
  </sheetViews>
  <sheetFormatPr defaultColWidth="9.140625" defaultRowHeight="12.75"/>
  <cols>
    <col min="1" max="1" width="8.8515625" style="7" customWidth="1"/>
    <col min="2" max="2" width="10.8515625" style="7" customWidth="1"/>
    <col min="3" max="3" width="11.00390625" style="8" customWidth="1"/>
    <col min="4" max="4" width="9.140625" style="6" customWidth="1"/>
    <col min="5" max="5" width="8.28125" style="6" customWidth="1"/>
    <col min="6" max="6" width="8.421875" style="11" customWidth="1"/>
    <col min="7" max="7" width="10.57421875" style="7" customWidth="1"/>
    <col min="8" max="8" width="7.57421875" style="7" customWidth="1"/>
    <col min="9" max="9" width="11.140625" style="8" customWidth="1"/>
    <col min="10" max="10" width="9.421875" style="7" customWidth="1"/>
    <col min="11" max="11" width="10.140625" style="7" customWidth="1"/>
    <col min="12" max="12" width="9.140625" style="7" customWidth="1"/>
    <col min="13" max="13" width="7.8515625" style="7" customWidth="1"/>
    <col min="14" max="14" width="8.57421875" style="6" customWidth="1"/>
    <col min="15" max="15" width="6.00390625" style="8" customWidth="1"/>
    <col min="16" max="16" width="8.00390625" style="7" customWidth="1"/>
    <col min="17" max="17" width="8.7109375" style="8" customWidth="1"/>
    <col min="18" max="18" width="8.7109375" style="9" customWidth="1"/>
    <col min="19" max="19" width="6.140625" style="7" customWidth="1"/>
    <col min="20" max="20" width="5.00390625" style="7" customWidth="1"/>
    <col min="21" max="21" width="7.8515625" style="8" customWidth="1"/>
    <col min="22" max="22" width="10.8515625" style="8" customWidth="1"/>
    <col min="23" max="23" width="5.8515625" style="7" customWidth="1"/>
    <col min="24" max="24" width="8.57421875" style="7" customWidth="1"/>
    <col min="26" max="26" width="7.00390625" style="7" customWidth="1"/>
    <col min="27" max="27" width="9.00390625" style="7" customWidth="1"/>
    <col min="28" max="28" width="10.00390625" style="7" customWidth="1"/>
    <col min="30" max="30" width="10.28125" style="7" customWidth="1"/>
    <col min="32" max="32" width="7.28125" style="7" customWidth="1"/>
    <col min="33" max="33" width="8.140625" style="7" customWidth="1"/>
    <col min="34" max="34" width="7.7109375" style="10" customWidth="1"/>
    <col min="37" max="16384" width="9.140625" style="7" customWidth="1"/>
  </cols>
  <sheetData>
    <row r="1" spans="7:24" ht="33" customHeight="1" thickBot="1">
      <c r="G1" s="7" t="s">
        <v>55</v>
      </c>
      <c r="X1" s="7" t="s">
        <v>27</v>
      </c>
    </row>
    <row r="2" spans="1:34" s="2" customFormat="1" ht="51.75" customHeight="1">
      <c r="A2" s="22" t="s">
        <v>24</v>
      </c>
      <c r="B2" s="23" t="s">
        <v>30</v>
      </c>
      <c r="C2" s="24" t="s">
        <v>21</v>
      </c>
      <c r="D2" s="25" t="s">
        <v>0</v>
      </c>
      <c r="E2" s="25" t="s">
        <v>1</v>
      </c>
      <c r="F2" s="26" t="s">
        <v>26</v>
      </c>
      <c r="G2" s="23" t="s">
        <v>29</v>
      </c>
      <c r="H2" s="23" t="s">
        <v>31</v>
      </c>
      <c r="I2" s="24" t="s">
        <v>14</v>
      </c>
      <c r="J2" s="23" t="s">
        <v>22</v>
      </c>
      <c r="K2" s="23" t="s">
        <v>16</v>
      </c>
      <c r="L2" s="34" t="s">
        <v>28</v>
      </c>
      <c r="M2" s="2" t="s">
        <v>2</v>
      </c>
      <c r="N2" s="1" t="s">
        <v>25</v>
      </c>
      <c r="O2" s="3" t="s">
        <v>23</v>
      </c>
      <c r="P2" s="2" t="s">
        <v>19</v>
      </c>
      <c r="Q2" s="3" t="s">
        <v>13</v>
      </c>
      <c r="R2" s="4" t="s">
        <v>20</v>
      </c>
      <c r="S2" s="2" t="s">
        <v>12</v>
      </c>
      <c r="T2" s="2" t="s">
        <v>4</v>
      </c>
      <c r="U2" s="3" t="s">
        <v>5</v>
      </c>
      <c r="V2" s="3" t="s">
        <v>7</v>
      </c>
      <c r="W2" s="2" t="s">
        <v>6</v>
      </c>
      <c r="X2" s="2" t="s">
        <v>8</v>
      </c>
      <c r="Z2" s="2" t="s">
        <v>9</v>
      </c>
      <c r="AA2" s="2" t="s">
        <v>3</v>
      </c>
      <c r="AB2" s="2" t="s">
        <v>17</v>
      </c>
      <c r="AD2" s="2" t="s">
        <v>18</v>
      </c>
      <c r="AF2" s="2" t="s">
        <v>11</v>
      </c>
      <c r="AG2" s="2" t="s">
        <v>10</v>
      </c>
      <c r="AH2" s="5" t="s">
        <v>15</v>
      </c>
    </row>
    <row r="3" spans="1:34" s="2" customFormat="1" ht="104.25" customHeight="1">
      <c r="A3" s="27" t="s">
        <v>32</v>
      </c>
      <c r="B3" s="14" t="s">
        <v>35</v>
      </c>
      <c r="C3" s="15" t="s">
        <v>51</v>
      </c>
      <c r="D3" s="16" t="s">
        <v>33</v>
      </c>
      <c r="E3" s="16" t="s">
        <v>52</v>
      </c>
      <c r="F3" s="17" t="s">
        <v>34</v>
      </c>
      <c r="G3" s="14" t="s">
        <v>36</v>
      </c>
      <c r="H3" s="14" t="s">
        <v>40</v>
      </c>
      <c r="I3" s="15" t="s">
        <v>53</v>
      </c>
      <c r="J3" s="14" t="s">
        <v>37</v>
      </c>
      <c r="K3" s="14" t="s">
        <v>38</v>
      </c>
      <c r="L3" s="35" t="s">
        <v>39</v>
      </c>
      <c r="M3" s="2" t="s">
        <v>41</v>
      </c>
      <c r="N3" s="1"/>
      <c r="O3" s="3"/>
      <c r="Q3" s="3" t="s">
        <v>54</v>
      </c>
      <c r="R3" s="4"/>
      <c r="T3" s="12" t="s">
        <v>42</v>
      </c>
      <c r="U3" s="13"/>
      <c r="V3" s="13"/>
      <c r="W3" s="13"/>
      <c r="X3" s="2" t="s">
        <v>43</v>
      </c>
      <c r="Z3" s="2" t="s">
        <v>45</v>
      </c>
      <c r="AA3" s="2" t="s">
        <v>44</v>
      </c>
      <c r="AB3" s="2" t="s">
        <v>46</v>
      </c>
      <c r="AD3" s="2" t="s">
        <v>47</v>
      </c>
      <c r="AF3" s="2" t="s">
        <v>48</v>
      </c>
      <c r="AG3" s="2" t="s">
        <v>49</v>
      </c>
      <c r="AH3" s="5" t="s">
        <v>50</v>
      </c>
    </row>
    <row r="4" spans="1:12" ht="12.75">
      <c r="A4" s="28"/>
      <c r="B4" s="18"/>
      <c r="C4" s="19"/>
      <c r="D4" s="20"/>
      <c r="E4" s="20"/>
      <c r="F4" s="21"/>
      <c r="G4" s="18"/>
      <c r="H4" s="18"/>
      <c r="I4" s="19"/>
      <c r="J4" s="18"/>
      <c r="K4" s="18"/>
      <c r="L4" s="36"/>
    </row>
    <row r="5" spans="1:34" ht="12.75">
      <c r="A5" s="28">
        <v>100</v>
      </c>
      <c r="B5" s="18">
        <v>6</v>
      </c>
      <c r="C5" s="19">
        <v>100</v>
      </c>
      <c r="D5" s="20">
        <v>0.7</v>
      </c>
      <c r="E5" s="20">
        <v>0.3</v>
      </c>
      <c r="F5" s="21">
        <v>0.726</v>
      </c>
      <c r="G5" s="18">
        <f>AG5*39.37</f>
        <v>0.29843196025893387</v>
      </c>
      <c r="H5" s="18">
        <f>I5/250</f>
        <v>0.5530949885207452</v>
      </c>
      <c r="I5" s="19">
        <f>((A5/Q5)/(1-E5))*1000</f>
        <v>138.2737471301863</v>
      </c>
      <c r="J5" s="18">
        <f>AB5/28.32</f>
        <v>27.84697586730904</v>
      </c>
      <c r="K5" s="18">
        <f>AH5*26</f>
        <v>0.19310799765441988</v>
      </c>
      <c r="L5" s="36">
        <f>K5*2.54*10</f>
        <v>4.904943140422265</v>
      </c>
      <c r="M5" s="7">
        <f>F5/100</f>
        <v>0.00726</v>
      </c>
      <c r="N5" s="6">
        <f>0.207/1000</f>
        <v>0.000207</v>
      </c>
      <c r="O5" s="8">
        <f>273.15+(C5-32)*(5/9)</f>
        <v>310.92777777777775</v>
      </c>
      <c r="P5" s="7">
        <f>1.29*(293.15/O5)</f>
        <v>1.216242249897261</v>
      </c>
      <c r="Q5" s="8">
        <f>(6*N5/3.14159)/(M5^3)</f>
        <v>1033.147259129683</v>
      </c>
      <c r="R5" s="9">
        <f>(1.68378+(2.23953*10^(-3)*C5))/100000</f>
        <v>1.907733E-05</v>
      </c>
      <c r="S5" s="7">
        <v>9.81</v>
      </c>
      <c r="T5" s="7">
        <f>1.75/(((E5)^3)*D5)</f>
        <v>92.5925925925926</v>
      </c>
      <c r="U5" s="8">
        <f>(150*(1-E5))/((E5^3)*(D5^2))</f>
        <v>7936.507936507937</v>
      </c>
      <c r="V5" s="8">
        <f>-(((M5)^3)*(P5)*(Q5-P5)*(S5))/((R5)^2)</f>
        <v>-12945369.089557495</v>
      </c>
      <c r="W5" s="7">
        <f>(-U5+((U5^2)-(4*T5*V5))^0.5)/(2*T5)</f>
        <v>333.50268611122425</v>
      </c>
      <c r="X5" s="7">
        <f>(R5*W5)/(M5*P5)</f>
        <v>0.7205435282375432</v>
      </c>
      <c r="Z5" s="7">
        <f>B5*2.54*10</f>
        <v>152.4</v>
      </c>
      <c r="AA5" s="7">
        <f>(3.141592653)*(((Z5/2)/1000)^2)</f>
        <v>0.01824146924408532</v>
      </c>
      <c r="AB5" s="7">
        <f>(1000*60)*AA5*X5</f>
        <v>788.6263565621921</v>
      </c>
      <c r="AD5" s="7">
        <f>J5*(298.15/O5)</f>
        <v>26.702586414688554</v>
      </c>
      <c r="AF5" s="7">
        <f>I5/1000/1000</f>
        <v>0.00013827374713018631</v>
      </c>
      <c r="AG5" s="7">
        <f>AF5/AA5</f>
        <v>0.0075801869509508225</v>
      </c>
      <c r="AH5" s="10">
        <f>(1-E5)*AF5*Q5*2.1/(AA5/0.0254/0.0254)</f>
        <v>0.007427230679016149</v>
      </c>
    </row>
    <row r="6" spans="1:34" ht="12.75">
      <c r="A6" s="28">
        <v>180</v>
      </c>
      <c r="B6" s="18">
        <f>B5</f>
        <v>6</v>
      </c>
      <c r="C6" s="19">
        <f>C5</f>
        <v>100</v>
      </c>
      <c r="D6" s="20">
        <f>D5</f>
        <v>0.7</v>
      </c>
      <c r="E6" s="20">
        <f>E5</f>
        <v>0.3</v>
      </c>
      <c r="F6" s="21">
        <f>F5</f>
        <v>0.726</v>
      </c>
      <c r="G6" s="18">
        <f>AG6*39.37</f>
        <v>0.5371775284660809</v>
      </c>
      <c r="H6" s="18">
        <f>I6/250</f>
        <v>0.9955709793373414</v>
      </c>
      <c r="I6" s="19">
        <f>((A6/Q6)/(1-E6))*1000</f>
        <v>248.89274483433536</v>
      </c>
      <c r="J6" s="18">
        <f>AB6/28.32</f>
        <v>27.84697586730904</v>
      </c>
      <c r="K6" s="18">
        <f>AH6*26</f>
        <v>0.3475943957779557</v>
      </c>
      <c r="L6" s="36">
        <f>K6*2.54*10</f>
        <v>8.828897652760075</v>
      </c>
      <c r="M6" s="7">
        <f>F6/100</f>
        <v>0.00726</v>
      </c>
      <c r="N6" s="6">
        <f>0.207/1000</f>
        <v>0.000207</v>
      </c>
      <c r="O6" s="8">
        <f>273.15+(C6-32)*(5/9)</f>
        <v>310.92777777777775</v>
      </c>
      <c r="P6" s="7">
        <f>1.29*(293.15/O6)</f>
        <v>1.216242249897261</v>
      </c>
      <c r="Q6" s="8">
        <f>(6*N6/3.14159)/(M6^3)</f>
        <v>1033.147259129683</v>
      </c>
      <c r="R6" s="9">
        <f>(1.68378+(2.23953*10^(-3)*C6))/100000</f>
        <v>1.907733E-05</v>
      </c>
      <c r="S6" s="7">
        <v>9.81</v>
      </c>
      <c r="T6" s="7">
        <f>1.75/(((E6)^3)*D6)</f>
        <v>92.5925925925926</v>
      </c>
      <c r="U6" s="8">
        <f>(150*(1-E6))/((E6^3)*(D6^2))</f>
        <v>7936.507936507937</v>
      </c>
      <c r="V6" s="8">
        <f>-(((M6)^3)*(P6)*(Q6-P6)*(S6))/((R6)^2)</f>
        <v>-12945369.089557495</v>
      </c>
      <c r="W6" s="7">
        <f>(-U6+((U6^2)-(4*T6*V6))^0.5)/(2*T6)</f>
        <v>333.50268611122425</v>
      </c>
      <c r="X6" s="7">
        <f>(R6*W6)/(M6*P6)</f>
        <v>0.7205435282375432</v>
      </c>
      <c r="Z6" s="7">
        <f>B6*2.54*10</f>
        <v>152.4</v>
      </c>
      <c r="AA6" s="7">
        <f>(3.141592653)*(((Z6/2)/1000)^2)</f>
        <v>0.01824146924408532</v>
      </c>
      <c r="AB6" s="7">
        <f>(1000*60)*AA6*X6</f>
        <v>788.6263565621921</v>
      </c>
      <c r="AD6" s="7">
        <f>J6*(298.15/O6)</f>
        <v>26.702586414688554</v>
      </c>
      <c r="AF6" s="7">
        <f>I6/1000/1000</f>
        <v>0.00024889274483433534</v>
      </c>
      <c r="AG6" s="7">
        <f>AF6/AA6</f>
        <v>0.013644336511711479</v>
      </c>
      <c r="AH6" s="10">
        <f>(1-E6)*AF6*Q6*2.1/(AA6/0.0254/0.0254)</f>
        <v>0.013369015222229066</v>
      </c>
    </row>
    <row r="7" spans="1:34" ht="12.75">
      <c r="A7" s="28">
        <v>300</v>
      </c>
      <c r="B7" s="18">
        <f>B6</f>
        <v>6</v>
      </c>
      <c r="C7" s="19">
        <f>C6</f>
        <v>100</v>
      </c>
      <c r="D7" s="20">
        <v>0.7</v>
      </c>
      <c r="E7" s="20">
        <f>E6</f>
        <v>0.3</v>
      </c>
      <c r="F7" s="21">
        <v>0.726</v>
      </c>
      <c r="G7" s="18">
        <f>AG7*39.37</f>
        <v>0.8952958807768013</v>
      </c>
      <c r="H7" s="18">
        <f>I7/250</f>
        <v>1.6592849655622355</v>
      </c>
      <c r="I7" s="19">
        <f>((A7/Q7)/(1-E7))*1000</f>
        <v>414.8212413905589</v>
      </c>
      <c r="J7" s="18">
        <f>AB7/28.32</f>
        <v>27.84697586730904</v>
      </c>
      <c r="K7" s="18">
        <f>AH7*26</f>
        <v>0.5793239929632594</v>
      </c>
      <c r="L7" s="36">
        <f>K7*2.54*10</f>
        <v>14.71482942126679</v>
      </c>
      <c r="M7" s="7">
        <f>F7/100</f>
        <v>0.00726</v>
      </c>
      <c r="N7" s="6">
        <f>0.207/1000</f>
        <v>0.000207</v>
      </c>
      <c r="O7" s="8">
        <f>273.15+(C7-32)*(5/9)</f>
        <v>310.92777777777775</v>
      </c>
      <c r="P7" s="7">
        <f>1.29*(293.15/O7)</f>
        <v>1.216242249897261</v>
      </c>
      <c r="Q7" s="8">
        <f>(6*N7/3.14159)/(M7^3)</f>
        <v>1033.147259129683</v>
      </c>
      <c r="R7" s="9">
        <f>(1.68378+(2.23953*10^(-3)*C7))/100000</f>
        <v>1.907733E-05</v>
      </c>
      <c r="S7" s="7">
        <v>9.81</v>
      </c>
      <c r="T7" s="7">
        <f>1.75/(((E7)^3)*D7)</f>
        <v>92.5925925925926</v>
      </c>
      <c r="U7" s="8">
        <f>(150*(1-E7))/((E7^3)*(D7^2))</f>
        <v>7936.507936507937</v>
      </c>
      <c r="V7" s="8">
        <f>-(((M7)^3)*(P7)*(Q7-P7)*(S7))/((R7)^2)</f>
        <v>-12945369.089557495</v>
      </c>
      <c r="W7" s="7">
        <f>(-U7+((U7^2)-(4*T7*V7))^0.5)/(2*T7)</f>
        <v>333.50268611122425</v>
      </c>
      <c r="X7" s="7">
        <f>(R7*W7)/(M7*P7)</f>
        <v>0.7205435282375432</v>
      </c>
      <c r="Z7" s="7">
        <f>B7*2.54*10</f>
        <v>152.4</v>
      </c>
      <c r="AA7" s="7">
        <f>(3.141592653)*(((Z7/2)/1000)^2)</f>
        <v>0.01824146924408532</v>
      </c>
      <c r="AB7" s="7">
        <f>(1000*60)*AA7*X7</f>
        <v>788.6263565621921</v>
      </c>
      <c r="AD7" s="7">
        <f>J7*(298.15/O7)</f>
        <v>26.702586414688554</v>
      </c>
      <c r="AF7" s="7">
        <f>I7/1000/1000</f>
        <v>0.00041482124139055886</v>
      </c>
      <c r="AG7" s="7">
        <f>AF7/AA7</f>
        <v>0.022740560852852462</v>
      </c>
      <c r="AH7" s="10">
        <f>(1-E7)*AF7*Q7*2.1/(AA7/0.0254/0.0254)</f>
        <v>0.02228169203704844</v>
      </c>
    </row>
    <row r="8" spans="1:34" ht="12.75">
      <c r="A8" s="28">
        <v>400</v>
      </c>
      <c r="B8" s="18">
        <f>B7</f>
        <v>6</v>
      </c>
      <c r="C8" s="19">
        <f>C7</f>
        <v>100</v>
      </c>
      <c r="D8" s="20">
        <v>0.7</v>
      </c>
      <c r="E8" s="20">
        <f>E7</f>
        <v>0.3</v>
      </c>
      <c r="F8" s="21">
        <v>0.726</v>
      </c>
      <c r="G8" s="18">
        <f>AG8*39.37</f>
        <v>1.1937278410357355</v>
      </c>
      <c r="H8" s="18">
        <f>I8/250</f>
        <v>2.212379954082981</v>
      </c>
      <c r="I8" s="19">
        <f>((A8/Q8)/(1-E8))*1000</f>
        <v>553.0949885207452</v>
      </c>
      <c r="J8" s="18">
        <f>AB8/28.32</f>
        <v>27.84697586730904</v>
      </c>
      <c r="K8" s="18">
        <f>AH8*26</f>
        <v>0.7724319906176795</v>
      </c>
      <c r="L8" s="36">
        <f>K8*2.54*10</f>
        <v>19.61977256168906</v>
      </c>
      <c r="M8" s="7">
        <f>F8/100</f>
        <v>0.00726</v>
      </c>
      <c r="N8" s="6">
        <f>0.207/1000</f>
        <v>0.000207</v>
      </c>
      <c r="O8" s="8">
        <f>273.15+(C8-32)*(5/9)</f>
        <v>310.92777777777775</v>
      </c>
      <c r="P8" s="7">
        <f>1.29*(293.15/O8)</f>
        <v>1.216242249897261</v>
      </c>
      <c r="Q8" s="8">
        <f>(6*N8/3.14159)/(M8^3)</f>
        <v>1033.147259129683</v>
      </c>
      <c r="R8" s="9">
        <f>(1.68378+(2.23953*10^(-3)*C8))/100000</f>
        <v>1.907733E-05</v>
      </c>
      <c r="S8" s="7">
        <v>9.81</v>
      </c>
      <c r="T8" s="7">
        <f>1.75/(((E8)^3)*D8)</f>
        <v>92.5925925925926</v>
      </c>
      <c r="U8" s="8">
        <f>(150*(1-E8))/((E8^3)*(D8^2))</f>
        <v>7936.507936507937</v>
      </c>
      <c r="V8" s="8">
        <f>-(((M8)^3)*(P8)*(Q8-P8)*(S8))/((R8)^2)</f>
        <v>-12945369.089557495</v>
      </c>
      <c r="W8" s="7">
        <f>(-U8+((U8^2)-(4*T8*V8))^0.5)/(2*T8)</f>
        <v>333.50268611122425</v>
      </c>
      <c r="X8" s="7">
        <f>(R8*W8)/(M8*P8)</f>
        <v>0.7205435282375432</v>
      </c>
      <c r="Z8" s="7">
        <f>B8*2.54*10</f>
        <v>152.4</v>
      </c>
      <c r="AA8" s="7">
        <f>(3.141592653)*(((Z8/2)/1000)^2)</f>
        <v>0.01824146924408532</v>
      </c>
      <c r="AB8" s="7">
        <f>(1000*60)*AA8*X8</f>
        <v>788.6263565621921</v>
      </c>
      <c r="AD8" s="7">
        <f>J8*(298.15/O8)</f>
        <v>26.702586414688554</v>
      </c>
      <c r="AF8" s="7">
        <f>I8/1000/1000</f>
        <v>0.0005530949885207453</v>
      </c>
      <c r="AG8" s="7">
        <f>AF8/AA8</f>
        <v>0.03032074780380329</v>
      </c>
      <c r="AH8" s="10">
        <f>(1-E8)*AF8*Q8*2.1/(AA8/0.0254/0.0254)</f>
        <v>0.029708922716064595</v>
      </c>
    </row>
    <row r="9" spans="1:34" ht="13.5" thickBot="1">
      <c r="A9" s="29">
        <v>500</v>
      </c>
      <c r="B9" s="30">
        <f>B8</f>
        <v>6</v>
      </c>
      <c r="C9" s="31">
        <f>C8</f>
        <v>100</v>
      </c>
      <c r="D9" s="32">
        <v>0.7</v>
      </c>
      <c r="E9" s="32">
        <f>E8</f>
        <v>0.3</v>
      </c>
      <c r="F9" s="33">
        <v>0.726</v>
      </c>
      <c r="G9" s="30">
        <f>AG9*39.37</f>
        <v>1.4921598012946693</v>
      </c>
      <c r="H9" s="30">
        <f>I9/250</f>
        <v>2.7654749426037264</v>
      </c>
      <c r="I9" s="31">
        <f>((A9/Q9)/(1-E9))*1000</f>
        <v>691.3687356509316</v>
      </c>
      <c r="J9" s="30">
        <f>AB9/28.32</f>
        <v>27.84697586730904</v>
      </c>
      <c r="K9" s="30">
        <f>AH9*26</f>
        <v>0.9655399882720992</v>
      </c>
      <c r="L9" s="37">
        <f>K9*2.54*10</f>
        <v>24.524715702111322</v>
      </c>
      <c r="M9" s="7">
        <f>F9/100</f>
        <v>0.00726</v>
      </c>
      <c r="N9" s="6">
        <f>0.207/1000</f>
        <v>0.000207</v>
      </c>
      <c r="O9" s="8">
        <f>273.15+(C9-32)*(5/9)</f>
        <v>310.92777777777775</v>
      </c>
      <c r="P9" s="7">
        <f>1.29*(293.15/O9)</f>
        <v>1.216242249897261</v>
      </c>
      <c r="Q9" s="8">
        <f>(6*N9/3.14159)/(M9^3)</f>
        <v>1033.147259129683</v>
      </c>
      <c r="R9" s="9">
        <f>(1.68378+(2.23953*10^(-3)*C9))/100000</f>
        <v>1.907733E-05</v>
      </c>
      <c r="S9" s="7">
        <v>9.81</v>
      </c>
      <c r="T9" s="7">
        <f>1.75/(((E9)^3)*D9)</f>
        <v>92.5925925925926</v>
      </c>
      <c r="U9" s="8">
        <f>(150*(1-E9))/((E9^3)*(D9^2))</f>
        <v>7936.507936507937</v>
      </c>
      <c r="V9" s="8">
        <f>-(((M9)^3)*(P9)*(Q9-P9)*(S9))/((R9)^2)</f>
        <v>-12945369.089557495</v>
      </c>
      <c r="W9" s="7">
        <f>(-U9+((U9^2)-(4*T9*V9))^0.5)/(2*T9)</f>
        <v>333.50268611122425</v>
      </c>
      <c r="X9" s="7">
        <f>(R9*W9)/(M9*P9)</f>
        <v>0.7205435282375432</v>
      </c>
      <c r="Z9" s="7">
        <f>B9*2.54*10</f>
        <v>152.4</v>
      </c>
      <c r="AA9" s="7">
        <f>(3.141592653)*(((Z9/2)/1000)^2)</f>
        <v>0.01824146924408532</v>
      </c>
      <c r="AB9" s="7">
        <f>(1000*60)*AA9*X9</f>
        <v>788.6263565621921</v>
      </c>
      <c r="AD9" s="7">
        <f>J9*(298.15/O9)</f>
        <v>26.702586414688554</v>
      </c>
      <c r="AF9" s="7">
        <f>I9/1000/1000</f>
        <v>0.0006913687356509316</v>
      </c>
      <c r="AG9" s="7">
        <f>AF9/AA9</f>
        <v>0.03790093475475411</v>
      </c>
      <c r="AH9" s="10">
        <f>(1-E9)*AF9*Q9*2.1/(AA9/0.0254/0.0254)</f>
        <v>0.03713615339508074</v>
      </c>
    </row>
  </sheetData>
  <mergeCells count="1">
    <mergeCell ref="T3:W3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Umpqua Research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Free Willy</dc:creator>
  <cp:keywords/>
  <dc:description/>
  <cp:lastModifiedBy>Stonering</cp:lastModifiedBy>
  <cp:lastPrinted>2003-11-19T18:58:46Z</cp:lastPrinted>
  <dcterms:created xsi:type="dcterms:W3CDTF">2000-09-11T23:19:31Z</dcterms:created>
  <dcterms:modified xsi:type="dcterms:W3CDTF">2003-12-12T15:10:42Z</dcterms:modified>
  <cp:category/>
  <cp:version/>
  <cp:contentType/>
  <cp:contentStatus/>
</cp:coreProperties>
</file>